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00" windowHeight="83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<sst xmlns="http://schemas.openxmlformats.org/spreadsheetml/2006/main" count="2004" uniqueCount="701">
  <si>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</si>
  <si>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</si>
  <si>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</si>
  <si>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</si>
  <si>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</si>
  <si>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</si>
  <si>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</si>
  <si>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</si>
  <si>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</si>
  <si>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</si>
  <si>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</si>
  <si>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</si>
  <si>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</si>
  <si>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</si>
  <si>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</si>
  <si>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</si>
  <si>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</si>
  <si>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</si>
  <si>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</si>
  <si>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</si>
  <si>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</si>
  <si>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</si>
  <si>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</si>
  <si>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</si>
  <si>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</si>
  <si>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</si>
  <si>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</si>
  <si>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</si>
  <si>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</si>
  <si>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</si>
  <si>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</si>
  <si>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</si>
  <si>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</si>
  <si>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</si>
  <si>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</si>
  <si>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</si>
  <si>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</si>
  <si>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</si>
  <si>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</si>
  <si>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</si>
  <si>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</si>
  <si>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</si>
  <si>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</si>
  <si>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</si>
  <si>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</si>
  <si>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</si>
  <si>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</si>
  <si>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</si>
  <si>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</si>
  <si>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</si>
  <si>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</si>
  <si>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</si>
  <si>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</si>
  <si>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</si>
  <si>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</si>
  <si>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</si>
  <si>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</si>
  <si>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</si>
  <si>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</si>
  <si>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</si>
  <si>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</si>
  <si>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</si>
  <si>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</si>
  <si>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</si>
  <si>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</si>
  <si>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</si>
  <si>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</si>
  <si>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</si>
  <si>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</si>
  <si>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</si>
  <si>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</si>
  <si>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</si>
  <si>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</si>
  <si>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</si>
  <si>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</si>
  <si>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</si>
  <si>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</si>
  <si>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</si>
  <si>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</si>
  <si>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</si>
  <si>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</si>
  <si>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</si>
  <si>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</si>
  <si>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</si>
  <si>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</si>
  <si>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</si>
  <si>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</si>
  <si>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</si>
  <si>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</si>
  <si>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</si>
  <si>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</si>
  <si>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</si>
  <si>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</si>
  <si>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</si>
  <si>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</si>
  <si>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</si>
  <si>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</si>
  <si>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</si>
  <si>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</si>
  <si>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</si>
  <si>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</si>
  <si>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</si>
  <si>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</si>
  <si>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</si>
  <si>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</si>
  <si>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</si>
  <si>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</si>
  <si>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</si>
  <si>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</si>
  <si>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</si>
  <si>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</si>
  <si>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</si>
  <si>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</si>
  <si>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</si>
  <si>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</si>
  <si>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</si>
  <si>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</si>
  <si>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</si>
  <si>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</si>
  <si>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</si>
  <si>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</si>
  <si>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</si>
  <si>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</si>
  <si>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</si>
  <si>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</si>
  <si>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</si>
  <si>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</si>
  <si>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</si>
  <si>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</si>
  <si>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</si>
  <si>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</si>
  <si>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</si>
  <si>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</si>
  <si>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</si>
  <si>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</si>
  <si>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</si>
  <si>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</si>
  <si>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</si>
  <si>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</si>
  <si>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</si>
  <si>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</si>
  <si>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</si>
  <si>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</si>
  <si>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</si>
  <si>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</si>
  <si>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</si>
  <si>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</si>
  <si>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</si>
  <si>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</si>
  <si>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</si>
  <si>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</si>
  <si>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</si>
  <si>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</si>
  <si>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</si>
  <si>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</si>
  <si>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</si>
  <si>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</si>
  <si>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</si>
  <si>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</si>
  <si>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</si>
  <si>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</si>
  <si>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</si>
  <si>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</si>
  <si>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</si>
  <si>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</si>
  <si>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</si>
  <si>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</si>
  <si>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</si>
  <si>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</si>
  <si>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</si>
  <si>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</si>
  <si>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</si>
  <si>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</si>
  <si>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</si>
  <si>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</si>
  <si>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</si>
  <si>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</si>
  <si>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</si>
  <si>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</si>
  <si>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</si>
  <si>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</si>
  <si>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</si>
  <si>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</si>
  <si>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</si>
  <si>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</si>
  <si>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</si>
  <si>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</si>
  <si>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</si>
  <si>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</si>
  <si>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</si>
  <si>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</si>
  <si>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</si>
  <si>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</si>
  <si>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</si>
  <si>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</si>
  <si>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</si>
  <si>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</si>
  <si>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</si>
  <si>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</si>
  <si>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</si>
  <si>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</si>
  <si>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</si>
  <si>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</si>
  <si>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</si>
  <si>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</si>
  <si>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</si>
  <si>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</si>
  <si>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</si>
  <si>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</si>
  <si>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</si>
  <si>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</si>
  <si>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</si>
  <si>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</si>
  <si>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</si>
  <si>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</si>
  <si>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</si>
  <si>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</si>
  <si>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</si>
  <si>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</si>
  <si>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</si>
  <si>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</si>
  <si>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</si>
  <si>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</si>
  <si>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</si>
  <si>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</si>
  <si>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</si>
  <si>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</si>
  <si>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</si>
  <si>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</si>
  <si>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</si>
  <si>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</si>
  <si>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</si>
  <si>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</si>
  <si>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</si>
  <si>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</si>
  <si>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</si>
  <si>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</si>
  <si>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</si>
  <si>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</si>
  <si>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</si>
  <si>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</si>
  <si>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</si>
  <si>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</si>
  <si>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</si>
  <si>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</si>
  <si>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</si>
  <si>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</si>
  <si>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</si>
  <si>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</si>
  <si>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</si>
  <si>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</si>
  <si>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</si>
  <si>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</si>
  <si>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</si>
  <si>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</si>
  <si>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</si>
  <si>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</si>
  <si>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</si>
  <si>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</si>
  <si>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</si>
  <si>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</si>
  <si>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</si>
  <si>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</si>
  <si>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</si>
  <si>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</si>
  <si>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</si>
  <si>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</si>
  <si>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</si>
  <si>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</si>
  <si>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</si>
  <si>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</si>
  <si>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</si>
  <si>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</si>
  <si>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</si>
  <si>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</si>
  <si>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</si>
  <si>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</si>
  <si>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</si>
  <si>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</si>
  <si>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</si>
  <si>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</si>
  <si>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</si>
  <si>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</si>
  <si>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</si>
  <si>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</si>
  <si>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</si>
  <si>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</si>
  <si>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</si>
  <si>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</si>
  <si>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</si>
  <si>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</si>
  <si>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</si>
  <si>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</si>
  <si>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</si>
  <si>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</si>
  <si>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</si>
  <si>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</si>
  <si>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</si>
  <si>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</si>
  <si>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</si>
  <si>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</si>
  <si>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</si>
  <si>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</si>
  <si>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</si>
  <si>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</si>
  <si>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</si>
  <si>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</si>
  <si>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</si>
  <si>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</si>
  <si>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</si>
  <si>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</si>
  <si>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</si>
  <si>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</si>
  <si>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</si>
  <si>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</si>
  <si>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</si>
  <si>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</si>
  <si>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</si>
  <si>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</si>
  <si>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</si>
  <si>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</si>
  <si>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</si>
  <si>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</si>
  <si>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</si>
  <si>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</si>
  <si>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</si>
  <si>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</si>
  <si>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</si>
  <si>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</si>
  <si>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</si>
  <si>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</si>
  <si>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</si>
  <si>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</si>
  <si>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</si>
  <si>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</si>
  <si>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</si>
  <si>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</si>
  <si>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</si>
  <si>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</si>
  <si>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</si>
  <si>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</si>
  <si>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</si>
  <si>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</si>
  <si>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</si>
  <si>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</si>
  <si>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</si>
  <si>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</si>
  <si>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</si>
  <si>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</si>
  <si>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</si>
  <si>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</si>
  <si>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</si>
  <si>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</si>
  <si>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</si>
  <si>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</si>
  <si>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</si>
  <si>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</si>
  <si>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</si>
  <si>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</si>
  <si>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</si>
  <si>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</si>
  <si>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</si>
  <si>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</si>
  <si>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</si>
  <si>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</si>
  <si>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</si>
  <si>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</si>
  <si>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</si>
  <si>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</si>
  <si>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</si>
  <si>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</si>
  <si>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</si>
  <si>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</si>
  <si>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</si>
  <si>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</si>
  <si>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</si>
  <si>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</si>
  <si>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</si>
  <si>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</si>
  <si>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</si>
  <si>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</si>
  <si>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</si>
  <si>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</si>
  <si>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</si>
  <si>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</si>
  <si>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</si>
  <si>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</si>
  <si>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</si>
  <si>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</si>
  <si>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</si>
  <si>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</si>
  <si>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</si>
  <si>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</si>
  <si>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</si>
  <si>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</si>
  <si>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</si>
  <si>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</si>
  <si>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</si>
  <si>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</si>
  <si>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</si>
  <si>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</si>
  <si>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</si>
  <si>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</si>
  <si>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</si>
  <si>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</si>
  <si>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</si>
  <si>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</si>
  <si>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</si>
  <si>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</si>
  <si>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</si>
  <si>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</si>
  <si>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</si>
  <si>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</si>
  <si>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</si>
  <si>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</si>
  <si>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</si>
  <si>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</si>
  <si>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</si>
  <si>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</si>
  <si>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</si>
  <si>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</si>
  <si>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</si>
  <si>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</si>
  <si>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</si>
  <si>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</si>
  <si>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</si>
  <si>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</si>
  <si>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</si>
  <si>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</si>
  <si>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</si>
  <si>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</si>
  <si>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</si>
  <si>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</si>
  <si>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</si>
  <si>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</si>
  <si>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</si>
  <si>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</si>
  <si>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</si>
  <si>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</si>
  <si>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</si>
  <si>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</si>
  <si>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</si>
  <si>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</si>
  <si>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</si>
  <si>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</si>
  <si>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</si>
  <si>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</si>
  <si>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</si>
  <si>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</si>
  <si>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</si>
  <si>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</si>
  <si>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</si>
  <si>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</si>
  <si>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</si>
  <si>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</si>
  <si>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</si>
  <si>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</si>
  <si>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</si>
  <si>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</si>
  <si>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</si>
  <si>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</si>
  <si>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</si>
  <si>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</si>
  <si>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</si>
  <si>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</si>
  <si>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</si>
  <si>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</si>
  <si>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</si>
  <si>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</si>
  <si>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</si>
  <si>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</si>
  <si>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</si>
  <si>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</si>
  <si>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</si>
  <si>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</si>
  <si>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</si>
  <si>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</si>
  <si>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</si>
  <si>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</si>
  <si>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</si>
  <si>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</si>
  <si>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</si>
  <si>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</si>
  <si>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</si>
  <si>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</si>
  <si>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</si>
  <si>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</si>
  <si>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</si>
  <si>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</si>
  <si>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</si>
  <si>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</si>
  <si>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</si>
  <si>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</si>
  <si>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</si>
  <si>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</si>
  <si>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</si>
  <si>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</si>
  <si>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</si>
  <si>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</si>
  <si>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</si>
  <si>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</si>
  <si>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</si>
  <si>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</si>
  <si>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</si>
  <si>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</si>
  <si>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</si>
  <si>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</si>
  <si>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</si>
  <si>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</si>
  <si>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</si>
  <si>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</si>
  <si>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</si>
  <si>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</si>
  <si>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</si>
  <si>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</si>
  <si>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</si>
  <si>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</si>
  <si>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</si>
  <si>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</si>
  <si>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</si>
  <si>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</si>
  <si>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</si>
  <si>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</si>
  <si>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</si>
  <si>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</si>
  <si>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</si>
  <si>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</si>
  <si>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</si>
  <si>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</si>
  <si>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</si>
  <si>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</si>
  <si>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</si>
  <si>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</si>
  <si>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</si>
  <si>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</si>
  <si>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</si>
  <si>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</si>
  <si>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</si>
  <si>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</si>
  <si>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</si>
  <si>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</si>
  <si>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</si>
  <si>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</si>
  <si>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</si>
  <si>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</si>
  <si>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</si>
  <si>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</si>
  <si>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</si>
  <si>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</si>
  <si>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</si>
  <si>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</si>
  <si>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</si>
  <si>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</si>
  <si>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</si>
  <si>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</si>
  <si>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</si>
  <si>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</si>
  <si>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</si>
  <si>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</si>
  <si>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</si>
  <si>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</si>
  <si>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</si>
  <si>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</si>
  <si>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</si>
  <si>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</si>
  <si>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</si>
  <si>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</si>
  <si>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</si>
  <si>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</si>
  <si>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</si>
  <si>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</si>
  <si>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</si>
  <si>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</si>
  <si>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</si>
  <si>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</si>
  <si>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</si>
  <si>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</si>
  <si>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</si>
  <si>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</si>
  <si>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</si>
  <si>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</si>
  <si>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</si>
  <si>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</si>
  <si>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</si>
  <si>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</si>
  <si>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</si>
  <si>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</si>
  <si>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</si>
  <si>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</si>
  <si>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</si>
  <si>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</si>
  <si>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</si>
  <si>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</si>
  <si>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</si>
  <si>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</si>
  <si>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</si>
  <si>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</si>
  <si>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</si>
  <si>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</si>
  <si>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</si>
  <si>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</si>
  <si>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</si>
  <si>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</si>
  <si>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</si>
  <si>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</si>
  <si>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</si>
  <si>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</si>
  <si>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</si>
  <si>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</si>
  <si>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</si>
  <si>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</si>
  <si>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</si>
  <si>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</si>
  <si>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</si>
  <si>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</si>
  <si>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</si>
  <si>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</si>
  <si>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</si>
  <si>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</si>
  <si>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</si>
  <si>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</si>
  <si>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</si>
  <si>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</si>
  <si>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</si>
  <si>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</si>
  <si>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</si>
  <si>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</si>
  <si>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</si>
  <si>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</si>
  <si>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</si>
  <si>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</si>
  <si>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</si>
  <si>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</si>
  <si>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</si>
  <si>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</si>
  <si>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</si>
  <si>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</si>
  <si>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</si>
  <si>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</si>
  <si>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</si>
  <si>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</si>
  <si>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</si>
  <si>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</si>
  <si>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</si>
  <si>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</si>
  <si>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</si>
  <si>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</si>
  <si>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</si>
  <si>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</si>
  <si>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</si>
  <si>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</si>
  <si>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</si>
  <si>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</si>
  <si>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</si>
  <si>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</si>
  <si>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</si>
  <si>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</si>
  <si>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</si>
  <si>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</si>
  <si>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</si>
  <si>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</si>
  <si>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</si>
  <si>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</si>
  <si>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</si>
  <si>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</si>
  <si>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</si>
  <si>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</si>
  <si>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</si>
  <si>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</si>
  <si>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</si>
  <si>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</si>
  <si>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</si>
  <si>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</si>
  <si>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</si>
  <si>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</si>
  <si>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</si>
  <si>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</si>
  <si>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</si>
  <si>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</si>
  <si>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</si>
  <si>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</si>
  <si>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</si>
  <si>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</si>
  <si>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</si>
  <si>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</si>
  <si>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</si>
  <si>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</si>
  <si>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</si>
  <si>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</si>
  <si>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</si>
  <si>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</si>
  <si>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главен счетоводител</t>
  </si>
  <si>
    <t>1. Sirma Group Inc.</t>
  </si>
  <si>
    <t>2. Сирма Солюшънс АД</t>
  </si>
  <si>
    <t>3. ЕнгВю Системс София АД</t>
  </si>
  <si>
    <t>4. Сирма Медикъл Системс АД</t>
  </si>
  <si>
    <t>5. Сирма Си Ай АД</t>
  </si>
  <si>
    <t>6. Сайънт АД</t>
  </si>
  <si>
    <t>7. Сирма Иншуртех АД</t>
  </si>
  <si>
    <t>1. Ес Ей Ай АД</t>
  </si>
  <si>
    <t>Диана Петкова</t>
  </si>
</sst>
</file>

<file path=xl/styles.xml><?xml version="1.0" encoding="utf-8"?>
<styleSheet xmlns="http://schemas.openxmlformats.org/spreadsheetml/2006/main">
  <numFmts count="50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F16" sqref="F16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45382</v>
      </c>
    </row>
    <row r="2" spans="1:27" ht="15.75">
      <c r="A2" s="464" t="s">
        <v>678</v>
      </c>
      <c r="B2" s="459"/>
      <c r="Z2" s="475">
        <v>2</v>
      </c>
      <c r="AA2" s="476">
        <f>IF(ISBLANK(_pdeReportingDate),"",_pdeReportingDate)</f>
        <v>45411</v>
      </c>
    </row>
    <row r="3" spans="1:27" ht="15.75">
      <c r="A3" s="460" t="s">
        <v>653</v>
      </c>
      <c r="B3" s="461"/>
      <c r="Z3" s="475">
        <v>3</v>
      </c>
      <c r="AA3" s="476" t="str">
        <f>IF(ISBLANK(_authorName),"",_authorName)</f>
        <v>Диана Петкова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45292</v>
      </c>
    </row>
    <row r="10" spans="1:2" ht="15.75">
      <c r="A10" s="7" t="s">
        <v>2</v>
      </c>
      <c r="B10" s="355">
        <v>45382</v>
      </c>
    </row>
    <row r="11" spans="1:2" ht="15.75">
      <c r="A11" s="7" t="s">
        <v>666</v>
      </c>
      <c r="B11" s="355">
        <v>45411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4" t="s">
        <v>682</v>
      </c>
    </row>
    <row r="15" spans="1:2" ht="15.75">
      <c r="A15" s="10" t="s">
        <v>658</v>
      </c>
      <c r="B15" s="356" t="s">
        <v>616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690</v>
      </c>
    </row>
    <row r="26" spans="1:2" ht="15.75">
      <c r="A26" s="10" t="s">
        <v>659</v>
      </c>
      <c r="B26" s="356" t="s">
        <v>700</v>
      </c>
    </row>
    <row r="27" spans="1:2" ht="15.75">
      <c r="A27" s="10" t="s">
        <v>660</v>
      </c>
      <c r="B27" s="356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7">
      <selection activeCell="D83" sqref="D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138</v>
      </c>
      <c r="D13" s="138">
        <v>139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32</v>
      </c>
      <c r="D14" s="138">
        <v>35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-2781</v>
      </c>
      <c r="H15" s="138">
        <v>-1781</v>
      </c>
    </row>
    <row r="16" spans="1:8" ht="15.75">
      <c r="A16" s="76" t="s">
        <v>38</v>
      </c>
      <c r="B16" s="78" t="s">
        <v>39</v>
      </c>
      <c r="C16" s="138">
        <v>220</v>
      </c>
      <c r="D16" s="138">
        <v>243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180</v>
      </c>
      <c r="D17" s="138">
        <v>192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297</v>
      </c>
      <c r="D18" s="138">
        <v>244</v>
      </c>
      <c r="E18" s="270" t="s">
        <v>47</v>
      </c>
      <c r="F18" s="269" t="s">
        <v>48</v>
      </c>
      <c r="G18" s="386">
        <f>G12+G15+G16+G17</f>
        <v>56580</v>
      </c>
      <c r="H18" s="387">
        <f>H12+H15+H16+H17</f>
        <v>57580</v>
      </c>
    </row>
    <row r="19" spans="1:8" ht="15.75">
      <c r="A19" s="76" t="s">
        <v>49</v>
      </c>
      <c r="B19" s="78" t="s">
        <v>50</v>
      </c>
      <c r="C19" s="138">
        <v>198</v>
      </c>
      <c r="D19" s="138">
        <v>204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1065</v>
      </c>
      <c r="D20" s="375">
        <f>SUM(D12:D19)</f>
        <v>1057</v>
      </c>
      <c r="E20" s="76" t="s">
        <v>54</v>
      </c>
      <c r="F20" s="80" t="s">
        <v>55</v>
      </c>
      <c r="G20" s="138">
        <v>6115</v>
      </c>
      <c r="H20" s="138">
        <v>5855</v>
      </c>
    </row>
    <row r="21" spans="1:8" ht="15.75">
      <c r="A21" s="87" t="s">
        <v>56</v>
      </c>
      <c r="B21" s="83" t="s">
        <v>57</v>
      </c>
      <c r="C21" s="265">
        <v>9610</v>
      </c>
      <c r="D21" s="265">
        <v>9638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1458</v>
      </c>
      <c r="H22" s="391">
        <f>SUM(H23:H25)</f>
        <v>1458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1458</v>
      </c>
      <c r="H23" s="138">
        <v>1458</v>
      </c>
    </row>
    <row r="24" spans="1:13" ht="15.75">
      <c r="A24" s="76" t="s">
        <v>67</v>
      </c>
      <c r="B24" s="78" t="s">
        <v>68</v>
      </c>
      <c r="C24" s="138">
        <v>613</v>
      </c>
      <c r="D24" s="138">
        <v>640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7573</v>
      </c>
      <c r="H26" s="375">
        <f>H20+H21+H22</f>
        <v>7313</v>
      </c>
      <c r="M26" s="85"/>
    </row>
    <row r="27" spans="1:8" ht="15.75">
      <c r="A27" s="76" t="s">
        <v>79</v>
      </c>
      <c r="B27" s="78" t="s">
        <v>80</v>
      </c>
      <c r="C27" s="138">
        <v>3527</v>
      </c>
      <c r="D27" s="138">
        <v>3585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4140</v>
      </c>
      <c r="D28" s="375">
        <f>SUM(D24:D27)</f>
        <v>4225</v>
      </c>
      <c r="E28" s="143" t="s">
        <v>84</v>
      </c>
      <c r="F28" s="80" t="s">
        <v>85</v>
      </c>
      <c r="G28" s="372">
        <f>SUM(G29:G31)</f>
        <v>8136</v>
      </c>
      <c r="H28" s="373">
        <f>SUM(H29:H31)</f>
        <v>6627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8136</v>
      </c>
      <c r="H29" s="138">
        <v>6627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953</v>
      </c>
      <c r="H32" s="138">
        <v>1509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9089</v>
      </c>
      <c r="H34" s="375">
        <f>H28+H32+H33</f>
        <v>8136</v>
      </c>
    </row>
    <row r="35" spans="1:8" ht="15.75">
      <c r="A35" s="76" t="s">
        <v>106</v>
      </c>
      <c r="B35" s="81" t="s">
        <v>107</v>
      </c>
      <c r="C35" s="372">
        <f>SUM(C36:C39)</f>
        <v>70830</v>
      </c>
      <c r="D35" s="373">
        <f>SUM(D36:D39)</f>
        <v>70830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70830</v>
      </c>
      <c r="D36" s="138">
        <v>70830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73242</v>
      </c>
      <c r="H37" s="377">
        <f>H26+H18+H34</f>
        <v>73029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16898</v>
      </c>
      <c r="H44" s="138">
        <v>16148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178</v>
      </c>
      <c r="H45" s="138">
        <v>192</v>
      </c>
    </row>
    <row r="46" spans="1:13" ht="15.75">
      <c r="A46" s="262" t="s">
        <v>137</v>
      </c>
      <c r="B46" s="83" t="s">
        <v>138</v>
      </c>
      <c r="C46" s="374">
        <f>C35+C40+C45</f>
        <v>70830</v>
      </c>
      <c r="D46" s="375">
        <f>D35+D40+D45</f>
        <v>70830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295</v>
      </c>
      <c r="D48" s="138">
        <v>295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60</v>
      </c>
      <c r="H49" s="138">
        <v>60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17136</v>
      </c>
      <c r="H50" s="373">
        <f>SUM(H44:H49)</f>
        <v>16400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295</v>
      </c>
      <c r="D52" s="375">
        <f>SUM(D48:D51)</f>
        <v>295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118</v>
      </c>
      <c r="H54" s="138">
        <v>118</v>
      </c>
    </row>
    <row r="55" spans="1:8" ht="15.75">
      <c r="A55" s="87" t="s">
        <v>166</v>
      </c>
      <c r="B55" s="83" t="s">
        <v>167</v>
      </c>
      <c r="C55" s="267">
        <v>949</v>
      </c>
      <c r="D55" s="267">
        <v>949</v>
      </c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86889</v>
      </c>
      <c r="D56" s="379">
        <f>D20+D21+D22+D28+D33+D46+D52+D54+D55</f>
        <v>86994</v>
      </c>
      <c r="E56" s="87" t="s">
        <v>557</v>
      </c>
      <c r="F56" s="86" t="s">
        <v>172</v>
      </c>
      <c r="G56" s="376">
        <f>G50+G52+G53+G54+G55</f>
        <v>17254</v>
      </c>
      <c r="H56" s="377">
        <f>H50+H52+H53+H54+H55</f>
        <v>16518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54</v>
      </c>
      <c r="H59" s="138">
        <v>53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534</v>
      </c>
      <c r="H61" s="373">
        <f>SUM(H62:H68)</f>
        <v>503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291</v>
      </c>
      <c r="H62" s="138">
        <v>296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</v>
      </c>
      <c r="H64" s="138">
        <v>116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135</v>
      </c>
      <c r="H66" s="138">
        <v>0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25</v>
      </c>
      <c r="H67" s="138">
        <v>22</v>
      </c>
    </row>
    <row r="68" spans="1:8" ht="15.75">
      <c r="A68" s="76" t="s">
        <v>206</v>
      </c>
      <c r="B68" s="78" t="s">
        <v>207</v>
      </c>
      <c r="C68" s="138">
        <v>3115</v>
      </c>
      <c r="D68" s="138">
        <v>1829</v>
      </c>
      <c r="E68" s="76" t="s">
        <v>212</v>
      </c>
      <c r="F68" s="80" t="s">
        <v>213</v>
      </c>
      <c r="G68" s="138">
        <v>57</v>
      </c>
      <c r="H68" s="138">
        <v>69</v>
      </c>
    </row>
    <row r="69" spans="1:8" ht="15.75">
      <c r="A69" s="76" t="s">
        <v>210</v>
      </c>
      <c r="B69" s="78" t="s">
        <v>211</v>
      </c>
      <c r="C69" s="138">
        <f>133-114</f>
        <v>19</v>
      </c>
      <c r="D69" s="138">
        <f>161-136</f>
        <v>25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113</v>
      </c>
      <c r="D70" s="138">
        <v>133</v>
      </c>
      <c r="E70" s="76" t="s">
        <v>219</v>
      </c>
      <c r="F70" s="80" t="s">
        <v>220</v>
      </c>
      <c r="G70" s="138">
        <v>92</v>
      </c>
      <c r="H70" s="138">
        <v>92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680</v>
      </c>
      <c r="H71" s="375">
        <f>H59+H60+H61+H69+H70</f>
        <v>648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62</v>
      </c>
      <c r="D75" s="138">
        <v>54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3309</v>
      </c>
      <c r="D76" s="375">
        <f>SUM(D68:D75)</f>
        <v>2041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680</v>
      </c>
      <c r="H79" s="377">
        <f>H71+H73+H75+H77</f>
        <v>648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50</v>
      </c>
      <c r="D88" s="138">
        <v>36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900</v>
      </c>
      <c r="D89" s="138">
        <f>1131-36</f>
        <v>1095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950</v>
      </c>
      <c r="D92" s="375">
        <f>SUM(D88:D91)</f>
        <v>1131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28</v>
      </c>
      <c r="D93" s="267">
        <v>29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4287</v>
      </c>
      <c r="D94" s="379">
        <f>D65+D76+D85+D92+D93</f>
        <v>3201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91176</v>
      </c>
      <c r="D95" s="381">
        <f>D94+D56</f>
        <v>90195</v>
      </c>
      <c r="E95" s="169" t="s">
        <v>633</v>
      </c>
      <c r="F95" s="278" t="s">
        <v>268</v>
      </c>
      <c r="G95" s="380">
        <f>G37+G40+G56+G79</f>
        <v>91176</v>
      </c>
      <c r="H95" s="381">
        <f>H37+H40+H56+H79</f>
        <v>90195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666</v>
      </c>
      <c r="B98" s="479">
        <f>pdeReportingDate</f>
        <v>45411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Диана Петкова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668</v>
      </c>
      <c r="C103" s="478"/>
      <c r="D103" s="478"/>
      <c r="E103" s="478"/>
      <c r="M103" s="85"/>
    </row>
    <row r="104" spans="1:5" ht="21.75" customHeight="1">
      <c r="A104" s="472"/>
      <c r="B104" s="478" t="s">
        <v>668</v>
      </c>
      <c r="C104" s="478"/>
      <c r="D104" s="478"/>
      <c r="E104" s="478"/>
    </row>
    <row r="105" spans="1:13" ht="21.75" customHeight="1">
      <c r="A105" s="472"/>
      <c r="B105" s="478" t="s">
        <v>668</v>
      </c>
      <c r="C105" s="478"/>
      <c r="D105" s="478"/>
      <c r="E105" s="478"/>
      <c r="M105" s="85"/>
    </row>
    <row r="106" spans="1:5" ht="21.75" customHeight="1">
      <c r="A106" s="472"/>
      <c r="B106" s="478" t="s">
        <v>668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B29" sqref="B29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28</v>
      </c>
      <c r="D12" s="254">
        <v>30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218</v>
      </c>
      <c r="D13" s="254">
        <v>171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164</v>
      </c>
      <c r="D14" s="254">
        <v>146</v>
      </c>
      <c r="E14" s="185" t="s">
        <v>285</v>
      </c>
      <c r="F14" s="180" t="s">
        <v>286</v>
      </c>
      <c r="G14" s="254">
        <v>1100</v>
      </c>
      <c r="H14" s="254">
        <v>957</v>
      </c>
    </row>
    <row r="15" spans="1:8" ht="15.75">
      <c r="A15" s="135" t="s">
        <v>287</v>
      </c>
      <c r="B15" s="131" t="s">
        <v>288</v>
      </c>
      <c r="C15" s="254">
        <v>475</v>
      </c>
      <c r="D15" s="254">
        <v>458</v>
      </c>
      <c r="E15" s="185" t="s">
        <v>79</v>
      </c>
      <c r="F15" s="180" t="s">
        <v>289</v>
      </c>
      <c r="G15" s="254"/>
      <c r="H15" s="254">
        <v>21</v>
      </c>
    </row>
    <row r="16" spans="1:8" ht="15.75">
      <c r="A16" s="135" t="s">
        <v>290</v>
      </c>
      <c r="B16" s="131" t="s">
        <v>291</v>
      </c>
      <c r="C16" s="254">
        <v>43</v>
      </c>
      <c r="D16" s="254">
        <v>35</v>
      </c>
      <c r="E16" s="176" t="s">
        <v>52</v>
      </c>
      <c r="F16" s="204" t="s">
        <v>292</v>
      </c>
      <c r="G16" s="405">
        <f>SUM(G12:G15)</f>
        <v>1100</v>
      </c>
      <c r="H16" s="406">
        <f>SUM(H12:H15)</f>
        <v>978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9</v>
      </c>
      <c r="D19" s="254">
        <v>8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937</v>
      </c>
      <c r="D22" s="406">
        <f>SUM(D12:D18)+D19</f>
        <v>848</v>
      </c>
      <c r="E22" s="135" t="s">
        <v>309</v>
      </c>
      <c r="F22" s="177" t="s">
        <v>310</v>
      </c>
      <c r="G22" s="254">
        <v>3</v>
      </c>
      <c r="H22" s="254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800</v>
      </c>
      <c r="H23" s="254">
        <v>1290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6</v>
      </c>
      <c r="D25" s="254">
        <v>66</v>
      </c>
      <c r="E25" s="135" t="s">
        <v>318</v>
      </c>
      <c r="F25" s="177" t="s">
        <v>319</v>
      </c>
      <c r="G25" s="254"/>
      <c r="H25" s="254"/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/>
      <c r="D27" s="254">
        <v>1</v>
      </c>
      <c r="E27" s="176" t="s">
        <v>104</v>
      </c>
      <c r="F27" s="178" t="s">
        <v>326</v>
      </c>
      <c r="G27" s="405">
        <f>SUM(G22:G26)</f>
        <v>803</v>
      </c>
      <c r="H27" s="406">
        <f>SUM(H22:H26)</f>
        <v>1293</v>
      </c>
    </row>
    <row r="28" spans="1:8" ht="15.75">
      <c r="A28" s="135" t="s">
        <v>79</v>
      </c>
      <c r="B28" s="177" t="s">
        <v>327</v>
      </c>
      <c r="C28" s="254">
        <v>7</v>
      </c>
      <c r="D28" s="254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13</v>
      </c>
      <c r="D29" s="406">
        <f>SUM(D25:D28)</f>
        <v>78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950</v>
      </c>
      <c r="D31" s="412">
        <f>D29+D22</f>
        <v>926</v>
      </c>
      <c r="E31" s="191" t="s">
        <v>548</v>
      </c>
      <c r="F31" s="206" t="s">
        <v>331</v>
      </c>
      <c r="G31" s="193">
        <f>G16+G18+G27</f>
        <v>1903</v>
      </c>
      <c r="H31" s="194">
        <f>H16+H18+H27</f>
        <v>2271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953</v>
      </c>
      <c r="D33" s="184">
        <f>IF((H31-D31)&gt;0,H31-D31,0)</f>
        <v>1345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950</v>
      </c>
      <c r="D36" s="414">
        <f>D31-D34+D35</f>
        <v>926</v>
      </c>
      <c r="E36" s="202" t="s">
        <v>346</v>
      </c>
      <c r="F36" s="196" t="s">
        <v>347</v>
      </c>
      <c r="G36" s="207">
        <f>G35-G34+G31</f>
        <v>1903</v>
      </c>
      <c r="H36" s="208">
        <f>H35-H34+H31</f>
        <v>2271</v>
      </c>
    </row>
    <row r="37" spans="1:8" ht="15.75">
      <c r="A37" s="201" t="s">
        <v>348</v>
      </c>
      <c r="B37" s="171" t="s">
        <v>349</v>
      </c>
      <c r="C37" s="411">
        <f>IF((G36-C36)&gt;0,G36-C36,0)</f>
        <v>953</v>
      </c>
      <c r="D37" s="412">
        <f>IF((H36-D36)&gt;0,H36-D36,0)</f>
        <v>1345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953</v>
      </c>
      <c r="D42" s="184">
        <f>+IF((H36-D36-D38)&gt;0,H36-D36-D38,0)</f>
        <v>1345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953</v>
      </c>
      <c r="D44" s="208">
        <f>IF(H42=0,IF(D42-D43&gt;0,D42-D43+H43,0),IF(H42-H43&lt;0,H43-H42+D42,0))</f>
        <v>1345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1903</v>
      </c>
      <c r="D45" s="408">
        <f>D36+D38+D42</f>
        <v>2271</v>
      </c>
      <c r="E45" s="210" t="s">
        <v>373</v>
      </c>
      <c r="F45" s="212" t="s">
        <v>374</v>
      </c>
      <c r="G45" s="407">
        <f>G42+G36</f>
        <v>1903</v>
      </c>
      <c r="H45" s="408">
        <f>H42+H36</f>
        <v>2271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667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666</v>
      </c>
      <c r="B50" s="479">
        <f>pdeReportingDate</f>
        <v>45411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Диана Петкова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668</v>
      </c>
      <c r="C55" s="478"/>
      <c r="D55" s="478"/>
      <c r="E55" s="478"/>
      <c r="F55" s="351"/>
      <c r="G55" s="41"/>
      <c r="H55" s="39"/>
    </row>
    <row r="56" spans="1:8" ht="15.75" customHeight="1">
      <c r="A56" s="472"/>
      <c r="B56" s="478" t="s">
        <v>668</v>
      </c>
      <c r="C56" s="478"/>
      <c r="D56" s="478"/>
      <c r="E56" s="478"/>
      <c r="F56" s="351"/>
      <c r="G56" s="41"/>
      <c r="H56" s="39"/>
    </row>
    <row r="57" spans="1:8" ht="15.75" customHeight="1">
      <c r="A57" s="472"/>
      <c r="B57" s="478" t="s">
        <v>668</v>
      </c>
      <c r="C57" s="478"/>
      <c r="D57" s="478"/>
      <c r="E57" s="478"/>
      <c r="F57" s="351"/>
      <c r="G57" s="41"/>
      <c r="H57" s="39"/>
    </row>
    <row r="58" spans="1:8" ht="15.75" customHeight="1">
      <c r="A58" s="472"/>
      <c r="B58" s="478" t="s">
        <v>668</v>
      </c>
      <c r="C58" s="478"/>
      <c r="D58" s="478"/>
      <c r="E58" s="478"/>
      <c r="F58" s="351"/>
      <c r="G58" s="41"/>
      <c r="H58" s="39"/>
    </row>
    <row r="59" spans="1:8" ht="15.75">
      <c r="A59" s="472"/>
      <c r="B59" s="478"/>
      <c r="C59" s="478"/>
      <c r="D59" s="478"/>
      <c r="E59" s="478"/>
      <c r="F59" s="351"/>
      <c r="G59" s="41"/>
      <c r="H59" s="39"/>
    </row>
    <row r="60" spans="1:8" ht="15.75">
      <c r="A60" s="472"/>
      <c r="B60" s="478"/>
      <c r="C60" s="478"/>
      <c r="D60" s="478"/>
      <c r="E60" s="478"/>
      <c r="F60" s="351"/>
      <c r="G60" s="41"/>
      <c r="H60" s="39"/>
    </row>
    <row r="61" spans="1:8" ht="15.75">
      <c r="A61" s="472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25">
      <selection activeCell="B56" sqref="B56:E5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831</v>
      </c>
      <c r="D11" s="138">
        <v>876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-567</v>
      </c>
      <c r="D12" s="138">
        <v>-498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-364</v>
      </c>
      <c r="D14" s="138">
        <v>-429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-21</v>
      </c>
      <c r="D20" s="138">
        <v>66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-121</v>
      </c>
      <c r="D21" s="436">
        <f>SUM(D11:D20)</f>
        <v>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-63</v>
      </c>
      <c r="D23" s="138">
        <v>-22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320</v>
      </c>
      <c r="D25" s="138">
        <v>41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-300</v>
      </c>
      <c r="D26" s="138">
        <v>-250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750</v>
      </c>
      <c r="D30" s="138">
        <v>687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707</v>
      </c>
      <c r="D33" s="436">
        <f>SUM(D23:D32)</f>
        <v>456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>
        <v>-740</v>
      </c>
      <c r="D36" s="138">
        <v>-998</v>
      </c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24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-355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-15</v>
      </c>
      <c r="D39" s="138">
        <v>-9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-12</v>
      </c>
      <c r="D40" s="138">
        <v>-78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-687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3912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-767</v>
      </c>
      <c r="D43" s="438">
        <f>SUM(D35:D42)</f>
        <v>1809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-181</v>
      </c>
      <c r="D44" s="246">
        <f>D43+D33+D21</f>
        <v>2279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f>+'1-Баланс'!D92</f>
        <v>1131</v>
      </c>
      <c r="D45" s="247">
        <v>3671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950</v>
      </c>
      <c r="D46" s="249">
        <f>D45+D44</f>
        <v>5950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f>+C46</f>
        <v>950</v>
      </c>
      <c r="D47" s="237">
        <f>+D46</f>
        <v>5950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9">
        <f>pdeReportingDate</f>
        <v>45411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Диана Петкова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668</v>
      </c>
      <c r="C59" s="478"/>
      <c r="D59" s="478"/>
      <c r="E59" s="478"/>
      <c r="F59" s="351"/>
      <c r="G59" s="41"/>
      <c r="H59" s="39"/>
    </row>
    <row r="60" spans="1:8" ht="15.75">
      <c r="A60" s="472"/>
      <c r="B60" s="478" t="s">
        <v>668</v>
      </c>
      <c r="C60" s="478"/>
      <c r="D60" s="478"/>
      <c r="E60" s="478"/>
      <c r="F60" s="351"/>
      <c r="G60" s="41"/>
      <c r="H60" s="39"/>
    </row>
    <row r="61" spans="1:8" ht="15.75">
      <c r="A61" s="472"/>
      <c r="B61" s="478" t="s">
        <v>668</v>
      </c>
      <c r="C61" s="478"/>
      <c r="D61" s="478"/>
      <c r="E61" s="478"/>
      <c r="F61" s="351"/>
      <c r="G61" s="41"/>
      <c r="H61" s="39"/>
    </row>
    <row r="62" spans="1:8" ht="15.75">
      <c r="A62" s="472"/>
      <c r="B62" s="478" t="s">
        <v>668</v>
      </c>
      <c r="C62" s="478"/>
      <c r="D62" s="478"/>
      <c r="E62" s="478"/>
      <c r="F62" s="351"/>
      <c r="G62" s="41"/>
      <c r="H62" s="39"/>
    </row>
    <row r="63" spans="1:8" ht="15.75">
      <c r="A63" s="472"/>
      <c r="B63" s="478"/>
      <c r="C63" s="478"/>
      <c r="D63" s="478"/>
      <c r="E63" s="478"/>
      <c r="F63" s="351"/>
      <c r="G63" s="41"/>
      <c r="H63" s="39"/>
    </row>
    <row r="64" spans="1:8" ht="15.75">
      <c r="A64" s="472"/>
      <c r="B64" s="478"/>
      <c r="C64" s="478"/>
      <c r="D64" s="478"/>
      <c r="E64" s="478"/>
      <c r="F64" s="351"/>
      <c r="G64" s="41"/>
      <c r="H64" s="39"/>
    </row>
    <row r="65" spans="1:8" ht="15.75">
      <c r="A65" s="472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13" sqref="C13:M3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57580</v>
      </c>
      <c r="D13" s="361">
        <f>'1-Баланс'!H20</f>
        <v>5855</v>
      </c>
      <c r="E13" s="361">
        <f>'1-Баланс'!H21</f>
        <v>0</v>
      </c>
      <c r="F13" s="361">
        <f>'1-Баланс'!H23</f>
        <v>1458</v>
      </c>
      <c r="G13" s="361">
        <f>'1-Баланс'!H24</f>
        <v>0</v>
      </c>
      <c r="H13" s="362"/>
      <c r="I13" s="361">
        <f>'1-Баланс'!H29+'1-Баланс'!H32</f>
        <v>8136</v>
      </c>
      <c r="J13" s="361">
        <f>'1-Баланс'!H30+'1-Баланс'!H33</f>
        <v>0</v>
      </c>
      <c r="K13" s="362"/>
      <c r="L13" s="361">
        <f>SUM(C13:K13)</f>
        <v>73029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57580</v>
      </c>
      <c r="D17" s="430">
        <f aca="true" t="shared" si="2" ref="D17:M17">D13+D14</f>
        <v>5855</v>
      </c>
      <c r="E17" s="430">
        <f t="shared" si="2"/>
        <v>0</v>
      </c>
      <c r="F17" s="430">
        <f t="shared" si="2"/>
        <v>1458</v>
      </c>
      <c r="G17" s="430">
        <f t="shared" si="2"/>
        <v>0</v>
      </c>
      <c r="H17" s="430">
        <f t="shared" si="2"/>
        <v>0</v>
      </c>
      <c r="I17" s="430">
        <f t="shared" si="2"/>
        <v>8136</v>
      </c>
      <c r="J17" s="430">
        <f t="shared" si="2"/>
        <v>0</v>
      </c>
      <c r="K17" s="430">
        <f t="shared" si="2"/>
        <v>0</v>
      </c>
      <c r="L17" s="361">
        <f t="shared" si="1"/>
        <v>73029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953</v>
      </c>
      <c r="J18" s="361">
        <f>+'1-Баланс'!G33</f>
        <v>0</v>
      </c>
      <c r="K18" s="362"/>
      <c r="L18" s="361">
        <f t="shared" si="1"/>
        <v>953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>
        <v>-1000</v>
      </c>
      <c r="D30" s="254">
        <v>260</v>
      </c>
      <c r="E30" s="254"/>
      <c r="F30" s="254"/>
      <c r="G30" s="254"/>
      <c r="H30" s="254"/>
      <c r="I30" s="254"/>
      <c r="J30" s="254"/>
      <c r="K30" s="254"/>
      <c r="L30" s="361">
        <f t="shared" si="1"/>
        <v>-740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56580</v>
      </c>
      <c r="D31" s="430">
        <f aca="true" t="shared" si="6" ref="D31:M31">D19+D22+D23+D26+D30+D29+D17+D18</f>
        <v>6115</v>
      </c>
      <c r="E31" s="430">
        <f t="shared" si="6"/>
        <v>0</v>
      </c>
      <c r="F31" s="430">
        <f t="shared" si="6"/>
        <v>1458</v>
      </c>
      <c r="G31" s="430">
        <f t="shared" si="6"/>
        <v>0</v>
      </c>
      <c r="H31" s="430">
        <f t="shared" si="6"/>
        <v>0</v>
      </c>
      <c r="I31" s="430">
        <f t="shared" si="6"/>
        <v>9089</v>
      </c>
      <c r="J31" s="430">
        <f t="shared" si="6"/>
        <v>0</v>
      </c>
      <c r="K31" s="430">
        <f t="shared" si="6"/>
        <v>0</v>
      </c>
      <c r="L31" s="361">
        <f t="shared" si="1"/>
        <v>73242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56580</v>
      </c>
      <c r="D34" s="364">
        <f t="shared" si="7"/>
        <v>6115</v>
      </c>
      <c r="E34" s="364">
        <f t="shared" si="7"/>
        <v>0</v>
      </c>
      <c r="F34" s="364">
        <f t="shared" si="7"/>
        <v>1458</v>
      </c>
      <c r="G34" s="364">
        <f t="shared" si="7"/>
        <v>0</v>
      </c>
      <c r="H34" s="364">
        <f t="shared" si="7"/>
        <v>0</v>
      </c>
      <c r="I34" s="364">
        <f t="shared" si="7"/>
        <v>9089</v>
      </c>
      <c r="J34" s="364">
        <f t="shared" si="7"/>
        <v>0</v>
      </c>
      <c r="K34" s="364">
        <f t="shared" si="7"/>
        <v>0</v>
      </c>
      <c r="L34" s="428">
        <f t="shared" si="1"/>
        <v>73242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666</v>
      </c>
      <c r="B38" s="479">
        <f>pdeReportingDate</f>
        <v>45411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Диана Петкова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668</v>
      </c>
      <c r="C43" s="478"/>
      <c r="D43" s="478"/>
      <c r="E43" s="478"/>
      <c r="F43" s="351"/>
      <c r="G43" s="41"/>
      <c r="H43" s="39"/>
      <c r="M43" s="110"/>
    </row>
    <row r="44" spans="1:13" ht="15.75">
      <c r="A44" s="472"/>
      <c r="B44" s="478" t="s">
        <v>668</v>
      </c>
      <c r="C44" s="478"/>
      <c r="D44" s="478"/>
      <c r="E44" s="478"/>
      <c r="F44" s="351"/>
      <c r="G44" s="41"/>
      <c r="H44" s="39"/>
      <c r="M44" s="110"/>
    </row>
    <row r="45" spans="1:13" ht="15.75">
      <c r="A45" s="472"/>
      <c r="B45" s="478" t="s">
        <v>668</v>
      </c>
      <c r="C45" s="478"/>
      <c r="D45" s="478"/>
      <c r="E45" s="478"/>
      <c r="F45" s="351"/>
      <c r="G45" s="41"/>
      <c r="H45" s="39"/>
      <c r="M45" s="110"/>
    </row>
    <row r="46" spans="1:13" ht="15.75">
      <c r="A46" s="472"/>
      <c r="B46" s="478" t="s">
        <v>668</v>
      </c>
      <c r="C46" s="478"/>
      <c r="D46" s="478"/>
      <c r="E46" s="478"/>
      <c r="F46" s="351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F79" sqref="F79:F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 t="s">
        <v>699</v>
      </c>
      <c r="B12" s="457"/>
      <c r="C12" s="79">
        <v>12505</v>
      </c>
      <c r="D12" s="79">
        <v>84.56</v>
      </c>
      <c r="E12" s="79"/>
      <c r="F12" s="258">
        <f>C12-E12</f>
        <v>12505</v>
      </c>
    </row>
    <row r="13" spans="1:6" ht="15.75">
      <c r="A13" s="456" t="s">
        <v>693</v>
      </c>
      <c r="B13" s="457"/>
      <c r="C13" s="79">
        <v>39686</v>
      </c>
      <c r="D13" s="79">
        <v>80.11</v>
      </c>
      <c r="E13" s="79"/>
      <c r="F13" s="258">
        <f aca="true" t="shared" si="0" ref="F13:F26">C13-E13</f>
        <v>39686</v>
      </c>
    </row>
    <row r="14" spans="1:6" ht="15.75">
      <c r="A14" s="456" t="s">
        <v>694</v>
      </c>
      <c r="B14" s="457"/>
      <c r="C14" s="79">
        <v>50</v>
      </c>
      <c r="D14" s="79">
        <v>72.9</v>
      </c>
      <c r="E14" s="79"/>
      <c r="F14" s="258">
        <f t="shared" si="0"/>
        <v>50</v>
      </c>
    </row>
    <row r="15" spans="1:6" ht="15.75">
      <c r="A15" s="456" t="s">
        <v>695</v>
      </c>
      <c r="B15" s="457"/>
      <c r="C15" s="79">
        <f>66-44</f>
        <v>22</v>
      </c>
      <c r="D15" s="79">
        <v>66</v>
      </c>
      <c r="E15" s="79"/>
      <c r="F15" s="258">
        <f t="shared" si="0"/>
        <v>22</v>
      </c>
    </row>
    <row r="16" spans="1:6" ht="15.75">
      <c r="A16" s="456" t="s">
        <v>696</v>
      </c>
      <c r="B16" s="457"/>
      <c r="C16" s="79">
        <v>106</v>
      </c>
      <c r="D16" s="79">
        <v>80</v>
      </c>
      <c r="E16" s="79"/>
      <c r="F16" s="258">
        <f t="shared" si="0"/>
        <v>106</v>
      </c>
    </row>
    <row r="17" spans="1:6" ht="15.75">
      <c r="A17" s="456" t="s">
        <v>697</v>
      </c>
      <c r="B17" s="457"/>
      <c r="C17" s="79">
        <v>14076</v>
      </c>
      <c r="D17" s="79">
        <v>100</v>
      </c>
      <c r="E17" s="79"/>
      <c r="F17" s="258">
        <f t="shared" si="0"/>
        <v>14076</v>
      </c>
    </row>
    <row r="18" spans="1:6" ht="15.75">
      <c r="A18" s="456" t="s">
        <v>698</v>
      </c>
      <c r="B18" s="457"/>
      <c r="C18" s="79">
        <v>914</v>
      </c>
      <c r="D18" s="79">
        <v>55</v>
      </c>
      <c r="E18" s="79"/>
      <c r="F18" s="258">
        <f t="shared" si="0"/>
        <v>914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67359</v>
      </c>
      <c r="D27" s="261"/>
      <c r="E27" s="261">
        <f>SUM(E12:E26)</f>
        <v>0</v>
      </c>
      <c r="F27" s="261">
        <f>SUM(F12:F26)</f>
        <v>67359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67359</v>
      </c>
      <c r="D79" s="261"/>
      <c r="E79" s="261">
        <f>E78+E61+E44+E27</f>
        <v>0</v>
      </c>
      <c r="F79" s="261">
        <f>F78+F61+F44+F27</f>
        <v>67359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692</v>
      </c>
      <c r="B82" s="457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666</v>
      </c>
      <c r="B151" s="479">
        <f>pdeReportingDate</f>
        <v>45411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Диана Петкова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668</v>
      </c>
      <c r="C156" s="478"/>
      <c r="D156" s="478"/>
      <c r="E156" s="478"/>
      <c r="F156" s="351"/>
      <c r="G156" s="41"/>
      <c r="H156" s="39"/>
    </row>
    <row r="157" spans="1:8" ht="15.75">
      <c r="A157" s="472"/>
      <c r="B157" s="478" t="s">
        <v>668</v>
      </c>
      <c r="C157" s="478"/>
      <c r="D157" s="478"/>
      <c r="E157" s="478"/>
      <c r="F157" s="351"/>
      <c r="G157" s="41"/>
      <c r="H157" s="39"/>
    </row>
    <row r="158" spans="1:8" ht="15.75">
      <c r="A158" s="472"/>
      <c r="B158" s="478" t="s">
        <v>668</v>
      </c>
      <c r="C158" s="478"/>
      <c r="D158" s="478"/>
      <c r="E158" s="478"/>
      <c r="F158" s="351"/>
      <c r="G158" s="41"/>
      <c r="H158" s="39"/>
    </row>
    <row r="159" spans="1:8" ht="15.75">
      <c r="A159" s="472"/>
      <c r="B159" s="478" t="s">
        <v>668</v>
      </c>
      <c r="C159" s="478"/>
      <c r="D159" s="478"/>
      <c r="E159" s="478"/>
      <c r="F159" s="351"/>
      <c r="G159" s="41"/>
      <c r="H159" s="39"/>
    </row>
    <row r="160" spans="1:8" ht="15.75">
      <c r="A160" s="472"/>
      <c r="B160" s="478"/>
      <c r="C160" s="478"/>
      <c r="D160" s="478"/>
      <c r="E160" s="478"/>
      <c r="F160" s="351"/>
      <c r="G160" s="41"/>
      <c r="H160" s="39"/>
    </row>
    <row r="161" spans="1:8" ht="15.75">
      <c r="A161" s="472"/>
      <c r="B161" s="478"/>
      <c r="C161" s="478"/>
      <c r="D161" s="478"/>
      <c r="E161" s="478"/>
      <c r="F161" s="351"/>
      <c r="G161" s="41"/>
      <c r="H161" s="39"/>
    </row>
    <row r="162" spans="1:8" ht="15.75">
      <c r="A162" s="472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01.01.2024 г. до 31.03.2024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91176</v>
      </c>
      <c r="D6" s="452">
        <f aca="true" t="shared" si="0" ref="D6:D15">C6-E6</f>
        <v>0</v>
      </c>
      <c r="E6" s="451">
        <f>'1-Баланс'!G95</f>
        <v>91176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73242</v>
      </c>
      <c r="D7" s="452">
        <f t="shared" si="0"/>
        <v>16662</v>
      </c>
      <c r="E7" s="451">
        <f>'1-Баланс'!G18</f>
        <v>56580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953</v>
      </c>
      <c r="D8" s="452">
        <f t="shared" si="0"/>
        <v>0</v>
      </c>
      <c r="E8" s="451">
        <f>ABS('2-Отчет за доходите'!C44)-ABS('2-Отчет за доходите'!G44)</f>
        <v>953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1131</v>
      </c>
      <c r="D9" s="452">
        <f t="shared" si="0"/>
        <v>0</v>
      </c>
      <c r="E9" s="451">
        <f>'3-Отчет за паричния поток'!C45</f>
        <v>1131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950</v>
      </c>
      <c r="D10" s="452">
        <f t="shared" si="0"/>
        <v>0</v>
      </c>
      <c r="E10" s="451">
        <f>'3-Отчет за паричния поток'!C46</f>
        <v>950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73242</v>
      </c>
      <c r="D11" s="452">
        <f t="shared" si="0"/>
        <v>0</v>
      </c>
      <c r="E11" s="451">
        <f>'4-Отчет за собствения капитал'!L34</f>
        <v>73242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70830</v>
      </c>
      <c r="D12" s="452">
        <f t="shared" si="0"/>
        <v>0</v>
      </c>
      <c r="E12" s="451">
        <f>'Справка 5'!C27+'Справка 5'!C97</f>
        <v>70830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0.8663636363636363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0.013011659976516207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0.05313928850228616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0.010452312011932965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2.0031578947368422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6.304411764705883</v>
      </c>
    </row>
    <row r="11" spans="1:4" ht="63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6.2632352941176475</v>
      </c>
    </row>
    <row r="12" spans="1:4" ht="47.2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1.3970588235294117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1.3970588235294117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0.07424907188660142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0.012064578397823988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0.19066036067892503</v>
      </c>
    </row>
    <row r="19" spans="1:4" ht="31.5">
      <c r="A19" s="369">
        <v>13</v>
      </c>
      <c r="B19" s="367" t="s">
        <v>624</v>
      </c>
      <c r="C19" s="368" t="s">
        <v>600</v>
      </c>
      <c r="D19" s="418">
        <f>D4/D5</f>
        <v>0.24485950684033753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0.19669649907870493</v>
      </c>
    </row>
    <row r="21" spans="1:5" ht="31.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959</v>
      </c>
      <c r="E21" s="474"/>
    </row>
    <row r="22" spans="1:4" ht="63">
      <c r="A22" s="369">
        <v>16</v>
      </c>
      <c r="B22" s="367" t="s">
        <v>607</v>
      </c>
      <c r="C22" s="368" t="s">
        <v>608</v>
      </c>
      <c r="D22" s="424">
        <f>D21/'1-Баланс'!G37</f>
        <v>0.013093580186231944</v>
      </c>
    </row>
    <row r="23" spans="1:4" ht="31.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0.5901208617971624</v>
      </c>
    </row>
    <row r="24" spans="1:4" ht="31.5">
      <c r="A24" s="369">
        <v>18</v>
      </c>
      <c r="B24" s="367" t="s">
        <v>671</v>
      </c>
      <c r="C24" s="368" t="s">
        <v>672</v>
      </c>
      <c r="D24" s="424">
        <f>('1-Баланс'!G56+'1-Баланс'!G79)/(D21+'2-Отчет за доходите'!C14)</f>
        <v>15.969723953695459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138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32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220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180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297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198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1065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9610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613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3527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4140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70830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70830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70830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295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295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949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86889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3115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113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62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3309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50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900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950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28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4287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91176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-2781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56580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6115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1458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1458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7573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8136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8136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953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9089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73242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16898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178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17136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118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17254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54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534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291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135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57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92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680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680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91176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28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218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164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475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43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9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937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6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0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7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13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950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953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950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953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953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953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1903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1100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1100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800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803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1903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1903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1903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831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-567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-364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-21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-121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-63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320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-300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750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707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-740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-15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-12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-767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45382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-181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45382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1131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45382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950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45382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950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45382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45382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57580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45382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45382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45382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45382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57580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45382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45382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45382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45382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45382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45382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45382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45382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45382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45382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45382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45382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45382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-1000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45382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56580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45382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45382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45382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56580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45382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5855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45382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45382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45382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45382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5855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45382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45382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45382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45382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45382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45382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45382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45382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45382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45382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45382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45382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45382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260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45382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6115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45382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45382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45382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6115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45382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45382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45382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45382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45382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45382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45382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45382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45382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45382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45382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45382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45382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45382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45382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45382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45382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45382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45382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45382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45382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45382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45382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1458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45382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45382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45382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45382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1458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45382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45382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45382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45382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45382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45382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45382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45382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45382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45382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45382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45382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45382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45382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1458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45382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45382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45382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1458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45382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45382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45382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45382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45382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45382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45382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45382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45382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45382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45382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45382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45382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45382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45382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45382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45382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45382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45382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45382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45382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45382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45382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45382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45382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45382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45382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45382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45382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45382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45382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45382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45382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45382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45382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45382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45382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45382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45382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45382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45382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45382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45382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45382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45382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8136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45382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45382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45382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45382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8136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45382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953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45382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45382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45382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45382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45382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45382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45382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45382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45382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45382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45382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45382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45382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9089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45382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45382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45382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9089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45382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45382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45382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45382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45382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45382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45382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45382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45382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45382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45382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45382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45382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45382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45382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45382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45382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45382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45382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45382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45382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45382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45382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45382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45382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45382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45382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45382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45382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45382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45382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45382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45382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45382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45382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45382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45382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45382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45382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45382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45382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45382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45382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45382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45382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73029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45382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45382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45382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45382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73029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45382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953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45382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45382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45382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45382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45382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45382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45382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45382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45382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45382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45382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45382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-740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45382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73242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45382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45382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45382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73242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45382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45382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45382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45382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45382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45382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45382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45382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45382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45382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45382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45382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45382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45382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45382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45382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45382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45382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45382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45382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45382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45382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4">
        <f>'Справка 5'!C27</f>
        <v>67359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45382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45382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45382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45382</v>
      </c>
      <c r="D468" s="92" t="s">
        <v>528</v>
      </c>
      <c r="E468" s="92">
        <v>1</v>
      </c>
      <c r="F468" s="92" t="s">
        <v>517</v>
      </c>
      <c r="H468" s="284">
        <f>'Справка 5'!C79</f>
        <v>67359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45382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45382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45382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45382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45382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45382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45382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45382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45382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45382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45382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45382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45382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45382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45382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45382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45382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45382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45382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45382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45382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45382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45382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45382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45382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45382</v>
      </c>
      <c r="D494" s="92" t="s">
        <v>519</v>
      </c>
      <c r="E494" s="92">
        <v>4</v>
      </c>
      <c r="F494" s="92" t="s">
        <v>518</v>
      </c>
      <c r="H494" s="284">
        <f>'Справка 5'!F27</f>
        <v>67359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45382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45382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45382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45382</v>
      </c>
      <c r="D498" s="92" t="s">
        <v>528</v>
      </c>
      <c r="E498" s="92">
        <v>4</v>
      </c>
      <c r="F498" s="92" t="s">
        <v>517</v>
      </c>
      <c r="H498" s="284">
        <f>'Справка 5'!F79</f>
        <v>67359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45382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45382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45382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45382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45382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2024-04-30T09:00:14Z</dcterms:modified>
  <cp:category/>
  <cp:version/>
  <cp:contentType/>
  <cp:contentStatus/>
</cp:coreProperties>
</file>